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showInkAnnotation="0" autoCompressPictures="0"/>
  <bookViews>
    <workbookView xWindow="0" yWindow="0" windowWidth="26760" windowHeight="16620" tabRatio="500"/>
  </bookViews>
  <sheets>
    <sheet name="Sheet2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2" l="1"/>
  <c r="C7" i="2"/>
  <c r="G21" i="2"/>
  <c r="H19" i="2"/>
  <c r="E7" i="2"/>
  <c r="H21" i="2"/>
  <c r="G23" i="2"/>
  <c r="G24" i="2"/>
  <c r="H20" i="2"/>
  <c r="G20" i="2"/>
  <c r="N19" i="2"/>
  <c r="D7" i="2"/>
  <c r="D8" i="2"/>
  <c r="D9" i="2"/>
  <c r="N21" i="2"/>
  <c r="N20" i="2"/>
  <c r="O19" i="2"/>
  <c r="O20" i="2"/>
  <c r="O21" i="2"/>
  <c r="D19" i="2"/>
  <c r="D20" i="2"/>
  <c r="C19" i="2"/>
  <c r="C20" i="2"/>
  <c r="E19" i="2"/>
  <c r="E20" i="2"/>
  <c r="K19" i="2"/>
  <c r="L19" i="2"/>
  <c r="K21" i="2"/>
  <c r="K20" i="2"/>
  <c r="I19" i="2"/>
  <c r="I21" i="2"/>
  <c r="I20" i="2"/>
  <c r="E21" i="2"/>
  <c r="M19" i="2"/>
  <c r="M21" i="2"/>
  <c r="M20" i="2"/>
  <c r="J15" i="2"/>
  <c r="J16" i="2"/>
  <c r="J19" i="2"/>
  <c r="J21" i="2"/>
  <c r="J20" i="2"/>
  <c r="F19" i="2"/>
  <c r="F21" i="2"/>
  <c r="F20" i="2"/>
  <c r="D21" i="2"/>
  <c r="C21" i="2"/>
  <c r="N23" i="2"/>
  <c r="N24" i="2"/>
  <c r="K23" i="2"/>
  <c r="K24" i="2"/>
  <c r="I23" i="2"/>
  <c r="I24" i="2"/>
  <c r="E23" i="2"/>
  <c r="E24" i="2"/>
  <c r="C23" i="2"/>
  <c r="C24" i="2"/>
</calcChain>
</file>

<file path=xl/sharedStrings.xml><?xml version="1.0" encoding="utf-8"?>
<sst xmlns="http://schemas.openxmlformats.org/spreadsheetml/2006/main" count="46" uniqueCount="27">
  <si>
    <t>Instrument</t>
  </si>
  <si>
    <t>LHe</t>
  </si>
  <si>
    <t>Bolocam</t>
  </si>
  <si>
    <t>Sharc II</t>
  </si>
  <si>
    <t>345/650 GHz</t>
  </si>
  <si>
    <t>Barney (345 GHz)</t>
  </si>
  <si>
    <t>850 GHz</t>
  </si>
  <si>
    <t>Delivery</t>
  </si>
  <si>
    <r>
      <t>LN</t>
    </r>
    <r>
      <rPr>
        <vertAlign val="subscript"/>
        <sz val="12"/>
        <color theme="1"/>
        <rFont val="Times New Roman"/>
        <scheme val="minor"/>
      </rPr>
      <t>2</t>
    </r>
  </si>
  <si>
    <t>Usage</t>
  </si>
  <si>
    <t>at telescope</t>
  </si>
  <si>
    <t>Precool &amp; Initial</t>
  </si>
  <si>
    <t>Subsequent</t>
  </si>
  <si>
    <t>Frequency</t>
  </si>
  <si>
    <t>liter</t>
  </si>
  <si>
    <t>day</t>
  </si>
  <si>
    <t>cost</t>
  </si>
  <si>
    <t>Observing nights</t>
  </si>
  <si>
    <t>230/460</t>
  </si>
  <si>
    <t>Sidecab</t>
  </si>
  <si>
    <t>Total cost</t>
  </si>
  <si>
    <t>Nightly rate</t>
  </si>
  <si>
    <t>rental, daily</t>
  </si>
  <si>
    <t>nominal capacity</t>
  </si>
  <si>
    <t>2013 March</t>
  </si>
  <si>
    <t>tanks &amp; size</t>
  </si>
  <si>
    <t>Zspec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</si>
</sst>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164" formatCode="&quot;$&quot;\ \ #,##0_);\(&quot;$&quot;#,##0\)"/>
    <numFmt numFmtId="165" formatCode="&quot;$&quot;\ #,##0_);\(&quot;$&quot;#,##0\)"/>
    <numFmt numFmtId="166" formatCode="&quot;$&quot;\ \ \ \ \ #,##0_);\(&quot;$&quot;#,##0\)"/>
  </numFmts>
  <fonts count="8" x14ac:knownFonts="1">
    <font>
      <sz val="12"/>
      <color theme="1"/>
      <name val="Times New Roman"/>
      <family val="2"/>
      <scheme val="minor"/>
    </font>
    <font>
      <u/>
      <sz val="12"/>
      <color theme="10"/>
      <name val="Times New Roman"/>
      <family val="2"/>
      <scheme val="minor"/>
    </font>
    <font>
      <u/>
      <sz val="12"/>
      <color theme="11"/>
      <name val="Times New Roman"/>
      <family val="2"/>
      <scheme val="minor"/>
    </font>
    <font>
      <vertAlign val="subscript"/>
      <sz val="12"/>
      <color theme="1"/>
      <name val="Times New Roman"/>
      <scheme val="minor"/>
    </font>
    <font>
      <i/>
      <sz val="12"/>
      <color theme="1"/>
      <name val="Times New Roman"/>
      <scheme val="minor"/>
    </font>
    <font>
      <b/>
      <sz val="18"/>
      <color rgb="FFFF0000"/>
      <name val="Times New Roman"/>
      <scheme val="minor"/>
    </font>
    <font>
      <sz val="14"/>
      <color theme="1"/>
      <name val="Times New Roman"/>
      <scheme val="minor"/>
    </font>
    <font>
      <i/>
      <sz val="14"/>
      <color theme="1"/>
      <name val="Times New Roman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165" fontId="0" fillId="0" borderId="0" xfId="0" applyNumberFormat="1" applyAlignment="1">
      <alignment horizontal="center"/>
    </xf>
  </cellXfs>
  <cellStyles count="1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classi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tabSelected="1" zoomScale="150" zoomScaleNormal="150" zoomScalePageLayoutView="150" workbookViewId="0">
      <selection activeCell="C2" sqref="C2"/>
    </sheetView>
  </sheetViews>
  <sheetFormatPr baseColWidth="10" defaultRowHeight="15" x14ac:dyDescent="0"/>
  <cols>
    <col min="1" max="1" width="18.6640625" customWidth="1"/>
    <col min="2" max="2" width="5.83203125" customWidth="1"/>
    <col min="3" max="13" width="8.6640625" customWidth="1"/>
    <col min="14" max="14" width="8.83203125" customWidth="1"/>
    <col min="15" max="16" width="7.83203125" customWidth="1"/>
  </cols>
  <sheetData>
    <row r="2" spans="1:15" ht="21">
      <c r="A2" s="5" t="s">
        <v>17</v>
      </c>
      <c r="C2" s="4">
        <v>7</v>
      </c>
    </row>
    <row r="4" spans="1:15" ht="17">
      <c r="A4" s="6" t="s">
        <v>7</v>
      </c>
      <c r="C4" s="1" t="s">
        <v>1</v>
      </c>
      <c r="D4" s="1" t="s">
        <v>1</v>
      </c>
      <c r="E4" s="1" t="s">
        <v>8</v>
      </c>
    </row>
    <row r="5" spans="1:15" ht="6" customHeight="1"/>
    <row r="6" spans="1:15">
      <c r="A6" t="s">
        <v>23</v>
      </c>
      <c r="B6" t="s">
        <v>14</v>
      </c>
      <c r="C6">
        <v>100</v>
      </c>
      <c r="D6">
        <v>60</v>
      </c>
      <c r="E6">
        <v>180</v>
      </c>
    </row>
    <row r="7" spans="1:15">
      <c r="A7" t="s">
        <v>10</v>
      </c>
      <c r="B7" t="s">
        <v>14</v>
      </c>
      <c r="C7">
        <f>85%*C6</f>
        <v>85</v>
      </c>
      <c r="D7">
        <f>85%*D6</f>
        <v>51</v>
      </c>
      <c r="E7">
        <f>100%*E6</f>
        <v>180</v>
      </c>
    </row>
    <row r="8" spans="1:15">
      <c r="A8" t="s">
        <v>16</v>
      </c>
      <c r="C8" s="3">
        <v>3525</v>
      </c>
      <c r="D8" s="3">
        <f>D6/C6*C8</f>
        <v>2115</v>
      </c>
      <c r="E8" s="3">
        <v>500</v>
      </c>
      <c r="G8" t="s">
        <v>24</v>
      </c>
    </row>
    <row r="9" spans="1:15">
      <c r="A9" t="s">
        <v>22</v>
      </c>
      <c r="C9" s="3">
        <v>6</v>
      </c>
      <c r="D9" s="3">
        <f>C9</f>
        <v>6</v>
      </c>
      <c r="E9" s="3">
        <v>0</v>
      </c>
    </row>
    <row r="10" spans="1:15">
      <c r="C10" s="3"/>
      <c r="D10" s="3"/>
    </row>
    <row r="11" spans="1:15">
      <c r="A11" s="12" t="s">
        <v>0</v>
      </c>
      <c r="K11" s="11" t="s">
        <v>19</v>
      </c>
      <c r="L11" s="11"/>
      <c r="M11" s="11"/>
    </row>
    <row r="12" spans="1:15">
      <c r="A12" s="12"/>
      <c r="C12" s="8" t="s">
        <v>2</v>
      </c>
      <c r="D12" s="8"/>
      <c r="E12" s="8" t="s">
        <v>3</v>
      </c>
      <c r="F12" s="8"/>
      <c r="G12" s="8" t="s">
        <v>26</v>
      </c>
      <c r="H12" s="8"/>
      <c r="I12" s="8" t="s">
        <v>5</v>
      </c>
      <c r="J12" s="8"/>
      <c r="K12" s="1" t="s">
        <v>18</v>
      </c>
      <c r="L12" s="8" t="s">
        <v>4</v>
      </c>
      <c r="M12" s="8"/>
      <c r="N12" s="8" t="s">
        <v>6</v>
      </c>
      <c r="O12" s="8"/>
    </row>
    <row r="13" spans="1:15" ht="17">
      <c r="A13" s="12"/>
      <c r="C13" s="1" t="s">
        <v>1</v>
      </c>
      <c r="D13" s="1" t="s">
        <v>8</v>
      </c>
      <c r="E13" s="1" t="s">
        <v>1</v>
      </c>
      <c r="F13" s="1" t="s">
        <v>8</v>
      </c>
      <c r="G13" s="2" t="s">
        <v>1</v>
      </c>
      <c r="H13" s="2" t="s">
        <v>8</v>
      </c>
      <c r="I13" s="1" t="s">
        <v>1</v>
      </c>
      <c r="J13" s="1" t="s">
        <v>8</v>
      </c>
      <c r="K13" s="1" t="s">
        <v>1</v>
      </c>
      <c r="L13" s="1" t="s">
        <v>1</v>
      </c>
      <c r="M13" s="1" t="s">
        <v>8</v>
      </c>
      <c r="N13" s="1" t="s">
        <v>1</v>
      </c>
      <c r="O13" s="1" t="s">
        <v>8</v>
      </c>
    </row>
    <row r="15" spans="1:15">
      <c r="A15" t="s">
        <v>11</v>
      </c>
      <c r="B15" t="s">
        <v>14</v>
      </c>
      <c r="C15">
        <v>85</v>
      </c>
      <c r="D15">
        <v>80</v>
      </c>
      <c r="E15">
        <v>60</v>
      </c>
      <c r="F15">
        <v>110</v>
      </c>
      <c r="G15">
        <v>160</v>
      </c>
      <c r="H15">
        <v>360</v>
      </c>
      <c r="I15">
        <v>15</v>
      </c>
      <c r="J15">
        <f>25+5</f>
        <v>30</v>
      </c>
      <c r="K15">
        <v>13</v>
      </c>
      <c r="L15">
        <v>13</v>
      </c>
      <c r="M15">
        <v>5</v>
      </c>
      <c r="N15">
        <v>13</v>
      </c>
      <c r="O15">
        <v>5</v>
      </c>
    </row>
    <row r="16" spans="1:15">
      <c r="A16" t="s">
        <v>12</v>
      </c>
      <c r="B16" t="s">
        <v>14</v>
      </c>
      <c r="C16">
        <v>25</v>
      </c>
      <c r="D16">
        <v>5</v>
      </c>
      <c r="E16">
        <v>15</v>
      </c>
      <c r="F16">
        <v>10</v>
      </c>
      <c r="G16">
        <v>40</v>
      </c>
      <c r="H16">
        <v>25</v>
      </c>
      <c r="I16">
        <v>10</v>
      </c>
      <c r="J16">
        <f>3+5</f>
        <v>8</v>
      </c>
      <c r="K16">
        <v>8</v>
      </c>
      <c r="L16">
        <v>8</v>
      </c>
      <c r="M16">
        <v>5</v>
      </c>
      <c r="N16">
        <v>8</v>
      </c>
      <c r="O16">
        <v>5</v>
      </c>
    </row>
    <row r="17" spans="1:15">
      <c r="A17" t="s">
        <v>13</v>
      </c>
      <c r="B17" t="s">
        <v>15</v>
      </c>
      <c r="C17" s="8">
        <v>1</v>
      </c>
      <c r="D17" s="8"/>
      <c r="E17" s="8">
        <v>2</v>
      </c>
      <c r="F17" s="8"/>
      <c r="G17">
        <v>2</v>
      </c>
      <c r="H17">
        <v>1</v>
      </c>
      <c r="I17" s="8">
        <v>1</v>
      </c>
      <c r="J17" s="8"/>
      <c r="K17">
        <v>4</v>
      </c>
      <c r="L17">
        <v>7</v>
      </c>
      <c r="M17">
        <v>1</v>
      </c>
      <c r="N17">
        <v>4</v>
      </c>
      <c r="O17">
        <v>1</v>
      </c>
    </row>
    <row r="19" spans="1:15">
      <c r="A19" t="s">
        <v>9</v>
      </c>
      <c r="B19" t="s">
        <v>14</v>
      </c>
      <c r="C19">
        <f>C15+C16*ROUNDUP(MAX($C2-1,0)/C17,0)</f>
        <v>235</v>
      </c>
      <c r="D19">
        <f>D15+D16*ROUNDUP(MAX($C2-1,0)/C17,0)</f>
        <v>110</v>
      </c>
      <c r="E19">
        <f>E15+E16*ROUNDUP(MAX($C2-1,0)/E17,0)</f>
        <v>105</v>
      </c>
      <c r="F19">
        <f>F15+F16*ROUNDUP(MAX($C2-1,0)/E17,0)</f>
        <v>140</v>
      </c>
      <c r="G19">
        <f>G15+G16*ROUNDUP(MAX($C2-1,0)/G17,0)</f>
        <v>280</v>
      </c>
      <c r="H19">
        <f>H15+H16*ROUNDUP(MAX($C2-1,0)/G17,0)</f>
        <v>435</v>
      </c>
      <c r="I19">
        <f>I15+I16*ROUNDUP(MAX($C2-1,0)/I17,0)</f>
        <v>75</v>
      </c>
      <c r="J19">
        <f>J15+J16*ROUNDUP(MAX($C2-1,0)/L17,0)</f>
        <v>38</v>
      </c>
      <c r="K19">
        <f>K15+K16*ROUNDUP(MAX($C2-1,0)/K17,0)</f>
        <v>29</v>
      </c>
      <c r="L19">
        <f>L15+L16*ROUNDUP(MAX($C2-1,0)/L17,0)</f>
        <v>21</v>
      </c>
      <c r="M19">
        <f>M15+M16*ROUNDUP(MAX($C2-1,0)/I17,0)</f>
        <v>35</v>
      </c>
      <c r="N19">
        <f>N15+N16*ROUNDUP(MAX($C2-1,0)/N17,0)</f>
        <v>29</v>
      </c>
      <c r="O19">
        <f>O15+O16*ROUNDUP(MAX($C2-1,0)/O17,0)</f>
        <v>35</v>
      </c>
    </row>
    <row r="20" spans="1:15">
      <c r="A20" s="7" t="s">
        <v>25</v>
      </c>
      <c r="B20" t="s">
        <v>14</v>
      </c>
      <c r="C20" s="1" t="str">
        <f>ROUNDUP(C19/$C7,0)&amp;" × "&amp;$C6</f>
        <v>3 × 100</v>
      </c>
      <c r="D20" s="1" t="str">
        <f>ROUNDUP(D19/$E7,0)&amp;" × "&amp;$E6</f>
        <v>1 × 180</v>
      </c>
      <c r="E20" s="1" t="str">
        <f>ROUNDUP(E19/$C7,0)&amp;" × "&amp;$C6</f>
        <v>2 × 100</v>
      </c>
      <c r="F20" s="1" t="str">
        <f>ROUNDUP(F19/$E7,0)&amp;" × "&amp;$E6</f>
        <v>1 × 180</v>
      </c>
      <c r="G20" s="2" t="str">
        <f>ROUNDUP(G19/$C7,0)&amp;" × "&amp;$C6</f>
        <v>4 × 100</v>
      </c>
      <c r="H20" s="2" t="str">
        <f>ROUNDUP(H19/$E7,0)&amp;" × "&amp;$E6</f>
        <v>3 × 180</v>
      </c>
      <c r="I20" s="1" t="str">
        <f>ROUNDUP(I19/$C7,0)&amp;" x "&amp;$C6</f>
        <v>1 x 100</v>
      </c>
      <c r="J20" s="1" t="str">
        <f>ROUNDUP(J19/$E7,0)&amp;" × "&amp;$E6</f>
        <v>1 × 180</v>
      </c>
      <c r="K20" s="8" t="str">
        <f>ROUNDUP((K19+L19)/$D7,0)&amp;" × "&amp;$D6</f>
        <v>1 × 60</v>
      </c>
      <c r="L20" s="8"/>
      <c r="M20" s="1" t="str">
        <f>ROUNDUP(M19/$E7,0)&amp;" × "&amp;$E6</f>
        <v>1 × 180</v>
      </c>
      <c r="N20" s="1" t="str">
        <f>ROUNDUP(N19/$D7,0)&amp;" × "&amp;$D6</f>
        <v>1 × 60</v>
      </c>
      <c r="O20" s="1" t="str">
        <f>ROUNDUP(O19/$E7,0)&amp;" × "&amp;$E6</f>
        <v>1 × 180</v>
      </c>
    </row>
    <row r="21" spans="1:15">
      <c r="C21" s="3">
        <f>ROUNDUP(C19/$C7,0)*($C8+($C2+2)*$C9)</f>
        <v>10737</v>
      </c>
      <c r="D21" s="3">
        <f>ROUNDUP(D19/$E7,0)*($E8+($C2+2)*$E9)</f>
        <v>500</v>
      </c>
      <c r="E21" s="3">
        <f>ROUNDUP(E19/$C7,0)*($C8+($C2+2)*$C9)</f>
        <v>7158</v>
      </c>
      <c r="F21" s="3">
        <f>ROUNDUP(F19/$E7,0)*($E8+($C2+2)*$E9)</f>
        <v>500</v>
      </c>
      <c r="G21" s="3">
        <f>ROUNDUP(G19/$C7,0)*($C8+($C2+2)*$C9)</f>
        <v>14316</v>
      </c>
      <c r="H21" s="3">
        <f>ROUNDUP(H19/$E7,0)*($E8+($C2+2)*$E9)</f>
        <v>1500</v>
      </c>
      <c r="I21" s="3">
        <f>ROUNDUP(I19/$C7,0)*($C8+($C2+2)*$C9)</f>
        <v>3579</v>
      </c>
      <c r="J21" s="3">
        <f>ROUNDUP(J19/$E7,0)*($E8+($C2+2)*$E9)</f>
        <v>500</v>
      </c>
      <c r="K21" s="9">
        <f>ROUNDUP((K19+L19)/$D7,0)*($D8+($C2+2)*$D9)</f>
        <v>2169</v>
      </c>
      <c r="L21" s="9"/>
      <c r="M21" s="3">
        <f>ROUNDUP(M19/$E7,0)*($E8+($C2+2)*$E9)</f>
        <v>500</v>
      </c>
      <c r="N21" s="3">
        <f>ROUNDUP(N19/$D7,0)*($D8+($C2+2)*$D9)</f>
        <v>2169</v>
      </c>
      <c r="O21" s="3">
        <f>ROUNDUP(O19/$E7,0)*($E8+($C2+2)*$E9)</f>
        <v>500</v>
      </c>
    </row>
    <row r="23" spans="1:15">
      <c r="A23" t="s">
        <v>20</v>
      </c>
      <c r="C23" s="13">
        <f>C21+D21</f>
        <v>11237</v>
      </c>
      <c r="D23" s="13"/>
      <c r="E23" s="9">
        <f>E21+F21</f>
        <v>7658</v>
      </c>
      <c r="F23" s="9"/>
      <c r="G23" s="9">
        <f>G21+H21</f>
        <v>15816</v>
      </c>
      <c r="H23" s="9"/>
      <c r="I23" s="9">
        <f>I21+J21</f>
        <v>4079</v>
      </c>
      <c r="J23" s="9"/>
      <c r="K23" s="9">
        <f>K21</f>
        <v>2169</v>
      </c>
      <c r="L23" s="9"/>
      <c r="M23" s="9"/>
      <c r="N23" s="9">
        <f>N21</f>
        <v>2169</v>
      </c>
      <c r="O23" s="9"/>
    </row>
    <row r="24" spans="1:15">
      <c r="A24" t="s">
        <v>21</v>
      </c>
      <c r="C24" s="9">
        <f>C23/$C2</f>
        <v>1605.2857142857142</v>
      </c>
      <c r="D24" s="9"/>
      <c r="E24" s="9">
        <f>E23/$C2</f>
        <v>1094</v>
      </c>
      <c r="F24" s="9"/>
      <c r="G24" s="9">
        <f>G23/$C2</f>
        <v>2259.4285714285716</v>
      </c>
      <c r="H24" s="9"/>
      <c r="I24" s="10">
        <f>I23/$C2</f>
        <v>582.71428571428567</v>
      </c>
      <c r="J24" s="10"/>
      <c r="K24" s="10">
        <f>K23/$C2</f>
        <v>309.85714285714283</v>
      </c>
      <c r="L24" s="10"/>
      <c r="M24" s="10"/>
      <c r="N24" s="10">
        <f>N23/$C2</f>
        <v>309.85714285714283</v>
      </c>
      <c r="O24" s="10"/>
    </row>
    <row r="25" spans="1:15">
      <c r="N25" s="10"/>
      <c r="O25" s="10"/>
    </row>
  </sheetData>
  <mergeCells count="26">
    <mergeCell ref="K11:M11"/>
    <mergeCell ref="A11:A13"/>
    <mergeCell ref="N12:O12"/>
    <mergeCell ref="C23:D23"/>
    <mergeCell ref="C24:D24"/>
    <mergeCell ref="E24:F24"/>
    <mergeCell ref="E23:F23"/>
    <mergeCell ref="I23:J23"/>
    <mergeCell ref="I24:J24"/>
    <mergeCell ref="K20:L20"/>
    <mergeCell ref="K21:L21"/>
    <mergeCell ref="K23:M23"/>
    <mergeCell ref="C12:D12"/>
    <mergeCell ref="E12:F12"/>
    <mergeCell ref="I12:J12"/>
    <mergeCell ref="C17:D17"/>
    <mergeCell ref="E17:F17"/>
    <mergeCell ref="I17:J17"/>
    <mergeCell ref="L12:M12"/>
    <mergeCell ref="G24:H24"/>
    <mergeCell ref="N25:O25"/>
    <mergeCell ref="G12:H12"/>
    <mergeCell ref="G23:H23"/>
    <mergeCell ref="K24:M24"/>
    <mergeCell ref="N23:O23"/>
    <mergeCell ref="N24:O2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radford</dc:creator>
  <cp:lastModifiedBy>simon radford</cp:lastModifiedBy>
  <dcterms:created xsi:type="dcterms:W3CDTF">2013-04-05T21:05:39Z</dcterms:created>
  <dcterms:modified xsi:type="dcterms:W3CDTF">2013-05-31T20:38:16Z</dcterms:modified>
</cp:coreProperties>
</file>